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U:\Users\kstephany\Downloads\"/>
    </mc:Choice>
  </mc:AlternateContent>
  <xr:revisionPtr revIDLastSave="0" documentId="8_{F36782ED-6842-44F1-A09B-F5F970CB79B6}" xr6:coauthVersionLast="47" xr6:coauthVersionMax="47" xr10:uidLastSave="{00000000-0000-0000-0000-000000000000}"/>
  <bookViews>
    <workbookView xWindow="-110" yWindow="-110" windowWidth="19420" windowHeight="10420" xr2:uid="{EABB318F-D11B-43DE-8F6B-9BC680B8902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0" i="1" l="1"/>
  <c r="I50" i="1" s="1"/>
  <c r="F50" i="1"/>
  <c r="H49" i="1"/>
  <c r="I49" i="1" s="1"/>
  <c r="F49" i="1"/>
  <c r="H48" i="1"/>
  <c r="I48" i="1" s="1"/>
  <c r="F48" i="1"/>
  <c r="G48" i="1" s="1"/>
  <c r="H46" i="1"/>
  <c r="F46" i="1"/>
  <c r="H45" i="1"/>
  <c r="I45" i="1" s="1"/>
  <c r="F45" i="1"/>
  <c r="H44" i="1"/>
  <c r="F44" i="1"/>
  <c r="G44" i="1" s="1"/>
  <c r="H42" i="1"/>
  <c r="H41" i="1"/>
  <c r="I41" i="1" s="1"/>
  <c r="F42" i="1"/>
  <c r="G42" i="1" s="1"/>
  <c r="F41" i="1"/>
  <c r="H40" i="1"/>
  <c r="I40" i="1" s="1"/>
  <c r="F40" i="1"/>
  <c r="H39" i="1"/>
  <c r="F39" i="1"/>
  <c r="H38" i="1"/>
  <c r="I38" i="1" s="1"/>
  <c r="F38" i="1"/>
  <c r="G38" i="1" s="1"/>
  <c r="F37" i="1"/>
  <c r="G37" i="1" s="1"/>
  <c r="H37" i="1"/>
  <c r="H35" i="1"/>
  <c r="I35" i="1" s="1"/>
  <c r="F35" i="1"/>
  <c r="G35" i="1" s="1"/>
  <c r="F34" i="1"/>
  <c r="H34" i="1"/>
  <c r="I34" i="1" s="1"/>
  <c r="H33" i="1"/>
  <c r="F33" i="1"/>
  <c r="G33" i="1" s="1"/>
  <c r="H32" i="1"/>
  <c r="I32" i="1" s="1"/>
  <c r="H31" i="1"/>
  <c r="F32" i="1"/>
  <c r="G32" i="1" s="1"/>
  <c r="F31" i="1"/>
  <c r="H30" i="1"/>
  <c r="F30" i="1"/>
  <c r="H28" i="1"/>
  <c r="I28" i="1" s="1"/>
  <c r="F28" i="1"/>
  <c r="G28" i="1" s="1"/>
  <c r="H27" i="1"/>
  <c r="I27" i="1" s="1"/>
  <c r="F27" i="1"/>
  <c r="F26" i="1"/>
  <c r="G26" i="1" s="1"/>
  <c r="H26" i="1"/>
  <c r="F25" i="1"/>
  <c r="H25" i="1"/>
  <c r="I25" i="1" s="1"/>
  <c r="H24" i="1"/>
  <c r="I24" i="1" s="1"/>
  <c r="F24" i="1"/>
  <c r="G24" i="1" s="1"/>
  <c r="F23" i="1"/>
  <c r="H23" i="1"/>
  <c r="H21" i="1"/>
  <c r="I21" i="1" s="1"/>
  <c r="H20" i="1"/>
  <c r="I20" i="1" s="1"/>
  <c r="H19" i="1"/>
  <c r="F21" i="1"/>
  <c r="G21" i="1" s="1"/>
  <c r="F20" i="1"/>
  <c r="F19" i="1"/>
  <c r="G19" i="1" s="1"/>
  <c r="H18" i="1"/>
  <c r="F18" i="1"/>
  <c r="H16" i="1"/>
  <c r="F13" i="1"/>
  <c r="F14" i="1"/>
  <c r="F16" i="1"/>
  <c r="G16" i="1" s="1"/>
  <c r="F15" i="1"/>
  <c r="G15" i="1" s="1"/>
  <c r="H15" i="1"/>
  <c r="I15" i="1" s="1"/>
  <c r="H14" i="1"/>
  <c r="I14" i="1" s="1"/>
  <c r="H13" i="1"/>
  <c r="H11" i="1"/>
  <c r="I11" i="1" s="1"/>
  <c r="F11" i="1"/>
  <c r="H10" i="1"/>
  <c r="F10" i="1"/>
  <c r="H9" i="1"/>
  <c r="F9" i="1"/>
  <c r="E48" i="1"/>
  <c r="J48" i="1" s="1"/>
  <c r="E49" i="1"/>
  <c r="J49" i="1" s="1"/>
  <c r="E50" i="1"/>
  <c r="J50" i="1" s="1"/>
  <c r="K50" i="1" s="1"/>
  <c r="E44" i="1"/>
  <c r="J44" i="1" s="1"/>
  <c r="E45" i="1"/>
  <c r="J45" i="1" s="1"/>
  <c r="E46" i="1"/>
  <c r="J46" i="1" s="1"/>
  <c r="K46" i="1" s="1"/>
  <c r="E37" i="1"/>
  <c r="J37" i="1" s="1"/>
  <c r="E38" i="1"/>
  <c r="J38" i="1" s="1"/>
  <c r="K38" i="1" s="1"/>
  <c r="E39" i="1"/>
  <c r="J39" i="1" s="1"/>
  <c r="E40" i="1"/>
  <c r="J40" i="1" s="1"/>
  <c r="E41" i="1"/>
  <c r="J41" i="1" s="1"/>
  <c r="K41" i="1" s="1"/>
  <c r="E42" i="1"/>
  <c r="J42" i="1" s="1"/>
  <c r="E30" i="1"/>
  <c r="J30" i="1" s="1"/>
  <c r="E31" i="1"/>
  <c r="J31" i="1" s="1"/>
  <c r="K31" i="1" s="1"/>
  <c r="E32" i="1"/>
  <c r="J32" i="1" s="1"/>
  <c r="E33" i="1"/>
  <c r="J33" i="1" s="1"/>
  <c r="K33" i="1" s="1"/>
  <c r="E34" i="1"/>
  <c r="J34" i="1" s="1"/>
  <c r="E35" i="1"/>
  <c r="J35" i="1" s="1"/>
  <c r="E24" i="1"/>
  <c r="J24" i="1" s="1"/>
  <c r="E25" i="1"/>
  <c r="J25" i="1" s="1"/>
  <c r="E26" i="1"/>
  <c r="J26" i="1" s="1"/>
  <c r="E27" i="1"/>
  <c r="J27" i="1" s="1"/>
  <c r="K27" i="1" s="1"/>
  <c r="E28" i="1"/>
  <c r="J28" i="1" s="1"/>
  <c r="E23" i="1"/>
  <c r="J23" i="1" s="1"/>
  <c r="E18" i="1"/>
  <c r="J18" i="1" s="1"/>
  <c r="E19" i="1"/>
  <c r="J19" i="1" s="1"/>
  <c r="E20" i="1"/>
  <c r="J20" i="1" s="1"/>
  <c r="K20" i="1" s="1"/>
  <c r="E21" i="1"/>
  <c r="J21" i="1" s="1"/>
  <c r="E13" i="1"/>
  <c r="J13" i="1" s="1"/>
  <c r="E14" i="1"/>
  <c r="J14" i="1" s="1"/>
  <c r="K14" i="1" s="1"/>
  <c r="E15" i="1"/>
  <c r="J15" i="1" s="1"/>
  <c r="E16" i="1"/>
  <c r="J16" i="1" s="1"/>
  <c r="K16" i="1" s="1"/>
  <c r="E10" i="1"/>
  <c r="J10" i="1" s="1"/>
  <c r="E11" i="1"/>
  <c r="J11" i="1" s="1"/>
  <c r="E9" i="1"/>
  <c r="J9" i="1" s="1"/>
  <c r="J12" i="1" s="1"/>
  <c r="K11" i="1" l="1"/>
  <c r="K19" i="1"/>
  <c r="K35" i="1"/>
  <c r="K40" i="1"/>
  <c r="K49" i="1"/>
  <c r="I13" i="1"/>
  <c r="G18" i="1"/>
  <c r="I23" i="1"/>
  <c r="G27" i="1"/>
  <c r="I31" i="1"/>
  <c r="I37" i="1"/>
  <c r="G41" i="1"/>
  <c r="G46" i="1"/>
  <c r="K10" i="1"/>
  <c r="J22" i="1"/>
  <c r="K18" i="1"/>
  <c r="K34" i="1"/>
  <c r="K39" i="1"/>
  <c r="J51" i="1"/>
  <c r="K48" i="1"/>
  <c r="I18" i="1"/>
  <c r="G23" i="1"/>
  <c r="I46" i="1"/>
  <c r="K15" i="1"/>
  <c r="K28" i="1"/>
  <c r="K32" i="1"/>
  <c r="J43" i="1"/>
  <c r="K37" i="1"/>
  <c r="G20" i="1"/>
  <c r="I33" i="1"/>
  <c r="I42" i="1"/>
  <c r="G10" i="1"/>
  <c r="G30" i="1"/>
  <c r="G39" i="1"/>
  <c r="G49" i="1"/>
  <c r="K13" i="1"/>
  <c r="J17" i="1"/>
  <c r="K26" i="1"/>
  <c r="J36" i="1"/>
  <c r="K30" i="1"/>
  <c r="K45" i="1"/>
  <c r="I10" i="1"/>
  <c r="G14" i="1"/>
  <c r="I19" i="1"/>
  <c r="G25" i="1"/>
  <c r="I30" i="1"/>
  <c r="G34" i="1"/>
  <c r="I39" i="1"/>
  <c r="I44" i="1"/>
  <c r="K21" i="1"/>
  <c r="K25" i="1"/>
  <c r="K42" i="1"/>
  <c r="K44" i="1"/>
  <c r="J47" i="1"/>
  <c r="G11" i="1"/>
  <c r="G13" i="1"/>
  <c r="I26" i="1"/>
  <c r="G31" i="1"/>
  <c r="G40" i="1"/>
  <c r="G45" i="1"/>
  <c r="G50" i="1"/>
  <c r="K23" i="1"/>
  <c r="J29" i="1"/>
  <c r="K24" i="1"/>
  <c r="I16" i="1"/>
</calcChain>
</file>

<file path=xl/sharedStrings.xml><?xml version="1.0" encoding="utf-8"?>
<sst xmlns="http://schemas.openxmlformats.org/spreadsheetml/2006/main" count="58" uniqueCount="51">
  <si>
    <t>Periodo</t>
  </si>
  <si>
    <t>Bono alimentación (USD)</t>
  </si>
  <si>
    <t>1ero de Mayo 2013</t>
  </si>
  <si>
    <t>1ero de septiembre 2013</t>
  </si>
  <si>
    <t>1ero de noviembre 2013</t>
  </si>
  <si>
    <t>Año 2013</t>
  </si>
  <si>
    <t>Año 2014</t>
  </si>
  <si>
    <t>6 de enero</t>
  </si>
  <si>
    <t xml:space="preserve">1ero de mayo </t>
  </si>
  <si>
    <t>1ero de diciembre</t>
  </si>
  <si>
    <t>19 de febrero </t>
  </si>
  <si>
    <t>Año 2015</t>
  </si>
  <si>
    <t>1 de febrero</t>
  </si>
  <si>
    <t xml:space="preserve">1 de mayo </t>
  </si>
  <si>
    <t xml:space="preserve">1 de julio </t>
  </si>
  <si>
    <t xml:space="preserve">1 de noviembre </t>
  </si>
  <si>
    <t xml:space="preserve">11 de enero </t>
  </si>
  <si>
    <t xml:space="preserve">17 de febrero </t>
  </si>
  <si>
    <t xml:space="preserve">1 de agosto </t>
  </si>
  <si>
    <t xml:space="preserve">1 de septiembre </t>
  </si>
  <si>
    <t>Año 2016</t>
  </si>
  <si>
    <t>Año 2017</t>
  </si>
  <si>
    <t xml:space="preserve">1 de enero </t>
  </si>
  <si>
    <t xml:space="preserve">1 de marzo </t>
  </si>
  <si>
    <t>Año 2018</t>
  </si>
  <si>
    <t>1 de enero</t>
  </si>
  <si>
    <t>1 de marzo</t>
  </si>
  <si>
    <t>16 de junio</t>
  </si>
  <si>
    <t>1 de septiembre (reconversión)</t>
  </si>
  <si>
    <t>1 de diciembre</t>
  </si>
  <si>
    <t>Año 2019</t>
  </si>
  <si>
    <t>14 de enero</t>
  </si>
  <si>
    <t>1 de mayo</t>
  </si>
  <si>
    <t>15 de octubre</t>
  </si>
  <si>
    <t>Año 2020</t>
  </si>
  <si>
    <t>31 de enero</t>
  </si>
  <si>
    <t>30 de mayo</t>
  </si>
  <si>
    <t xml:space="preserve">30 de noviembre </t>
  </si>
  <si>
    <t>Expresado en USD</t>
  </si>
  <si>
    <t>Ingreso de los trabajadores (USD)</t>
  </si>
  <si>
    <t>Ingreso de los trabajadores (Bs.)</t>
  </si>
  <si>
    <t>Salario mínimo- bono de alimentación e ingreso de los trabajadores  en Venezuela</t>
  </si>
  <si>
    <t>Fuente:BCV, Finanzas digital, cálculos propios.</t>
  </si>
  <si>
    <t>Salario mínimo en Bs.</t>
  </si>
  <si>
    <t>Bono alimentación ( Bs.)</t>
  </si>
  <si>
    <t>Salario mínimo en USD.</t>
  </si>
  <si>
    <t>Canasta Alimentaria Familiar (USD)</t>
  </si>
  <si>
    <t>Variación porcentual del Salario Mínimo en USD</t>
  </si>
  <si>
    <t>Variación porcentual del Bono de Alimentación en USD</t>
  </si>
  <si>
    <t>Variación porcentual del Ingreso de los Trabajadores en USD</t>
  </si>
  <si>
    <t>2013-2020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</si>
</sst>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02122"/>
      <name val="Arial"/>
      <family val="2"/>
    </font>
    <font>
      <sz val="11"/>
      <color rgb="FF20212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202122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8F9FA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66FFCC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4" fontId="0" fillId="5" borderId="0" xfId="0" applyNumberFormat="1" applyFill="1"/>
    <xf numFmtId="0" fontId="3" fillId="6" borderId="0" xfId="0" applyFont="1" applyFill="1" applyAlignment="1">
      <alignment horizontal="left" vertical="center"/>
    </xf>
    <xf numFmtId="4" fontId="3" fillId="6" borderId="0" xfId="0" applyNumberFormat="1" applyFont="1" applyFill="1" applyAlignment="1">
      <alignment horizontal="center" vertical="center"/>
    </xf>
    <xf numFmtId="4" fontId="0" fillId="6" borderId="0" xfId="0" applyNumberFormat="1" applyFont="1" applyFill="1" applyAlignment="1">
      <alignment horizontal="center" vertical="center"/>
    </xf>
    <xf numFmtId="0" fontId="0" fillId="6" borderId="0" xfId="0" applyFont="1" applyFill="1" applyAlignment="1">
      <alignment horizontal="left"/>
    </xf>
    <xf numFmtId="0" fontId="0" fillId="6" borderId="0" xfId="0" applyFill="1"/>
    <xf numFmtId="4" fontId="3" fillId="6" borderId="0" xfId="0" applyNumberFormat="1" applyFont="1" applyFill="1" applyBorder="1" applyAlignment="1">
      <alignment horizontal="center" vertical="center" wrapText="1"/>
    </xf>
    <xf numFmtId="0" fontId="0" fillId="7" borderId="0" xfId="0" applyFill="1"/>
    <xf numFmtId="0" fontId="3" fillId="7" borderId="0" xfId="0" applyFont="1" applyFill="1"/>
    <xf numFmtId="4" fontId="0" fillId="7" borderId="0" xfId="0" applyNumberFormat="1" applyFont="1" applyFill="1" applyBorder="1" applyAlignment="1">
      <alignment horizontal="center" vertical="center"/>
    </xf>
    <xf numFmtId="4" fontId="3" fillId="7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vertical="center" wrapText="1"/>
    </xf>
    <xf numFmtId="0" fontId="0" fillId="4" borderId="0" xfId="0" applyFill="1" applyBorder="1"/>
    <xf numFmtId="0" fontId="3" fillId="8" borderId="0" xfId="0" applyFont="1" applyFill="1" applyBorder="1" applyAlignment="1">
      <alignment horizontal="left" vertical="center"/>
    </xf>
    <xf numFmtId="4" fontId="3" fillId="8" borderId="0" xfId="0" applyNumberFormat="1" applyFont="1" applyFill="1" applyBorder="1" applyAlignment="1">
      <alignment horizontal="center" vertical="center"/>
    </xf>
    <xf numFmtId="4" fontId="3" fillId="8" borderId="0" xfId="0" applyNumberFormat="1" applyFont="1" applyFill="1" applyBorder="1" applyAlignment="1">
      <alignment horizontal="center" vertical="center" wrapText="1"/>
    </xf>
    <xf numFmtId="4" fontId="0" fillId="8" borderId="0" xfId="0" applyNumberFormat="1" applyFont="1" applyFill="1" applyBorder="1" applyAlignment="1">
      <alignment horizontal="center"/>
    </xf>
    <xf numFmtId="0" fontId="0" fillId="5" borderId="0" xfId="0" applyFill="1"/>
    <xf numFmtId="0" fontId="4" fillId="0" borderId="0" xfId="0" applyFont="1"/>
    <xf numFmtId="0" fontId="0" fillId="9" borderId="0" xfId="0" applyFill="1" applyAlignment="1">
      <alignment horizontal="left" vertical="center"/>
    </xf>
    <xf numFmtId="4" fontId="0" fillId="9" borderId="0" xfId="0" applyNumberForma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0" fillId="10" borderId="0" xfId="0" applyFill="1" applyAlignment="1">
      <alignment horizontal="left" vertical="center"/>
    </xf>
    <xf numFmtId="4" fontId="0" fillId="10" borderId="0" xfId="0" applyNumberFormat="1" applyFill="1" applyAlignment="1">
      <alignment horizontal="center" vertical="center"/>
    </xf>
    <xf numFmtId="0" fontId="0" fillId="11" borderId="0" xfId="0" applyFill="1"/>
    <xf numFmtId="4" fontId="0" fillId="11" borderId="0" xfId="0" applyNumberFormat="1" applyFill="1" applyAlignment="1">
      <alignment horizontal="center" vertical="center"/>
    </xf>
    <xf numFmtId="0" fontId="0" fillId="12" borderId="0" xfId="0" applyFill="1"/>
    <xf numFmtId="4" fontId="0" fillId="12" borderId="0" xfId="0" applyNumberFormat="1" applyFill="1" applyAlignment="1">
      <alignment horizontal="center" vertical="center"/>
    </xf>
    <xf numFmtId="0" fontId="0" fillId="13" borderId="0" xfId="0" applyFill="1"/>
    <xf numFmtId="4" fontId="0" fillId="13" borderId="0" xfId="0" applyNumberFormat="1" applyFill="1" applyAlignment="1">
      <alignment horizontal="center" vertical="center"/>
    </xf>
    <xf numFmtId="4" fontId="0" fillId="7" borderId="0" xfId="0" applyNumberFormat="1" applyFill="1" applyAlignment="1">
      <alignment horizontal="center" vertical="center"/>
    </xf>
    <xf numFmtId="4" fontId="0" fillId="14" borderId="0" xfId="0" applyNumberFormat="1" applyFill="1" applyAlignment="1">
      <alignment horizontal="center" vertical="center"/>
    </xf>
    <xf numFmtId="0" fontId="0" fillId="14" borderId="0" xfId="0" applyFill="1"/>
    <xf numFmtId="0" fontId="6" fillId="0" borderId="0" xfId="0" applyFont="1"/>
    <xf numFmtId="0" fontId="1" fillId="6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4" fontId="1" fillId="15" borderId="0" xfId="0" applyNumberFormat="1" applyFont="1" applyFill="1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7" fillId="8" borderId="0" xfId="0" applyFont="1" applyFill="1" applyBorder="1" applyAlignment="1">
      <alignment horizontal="center" vertical="center" wrapText="1"/>
    </xf>
    <xf numFmtId="0" fontId="1" fillId="8" borderId="0" xfId="0" applyFont="1" applyFill="1" applyBorder="1" applyAlignment="1">
      <alignment horizontal="center"/>
    </xf>
    <xf numFmtId="0" fontId="0" fillId="17" borderId="0" xfId="0" applyFill="1" applyAlignment="1">
      <alignment horizontal="center" vertical="center"/>
    </xf>
    <xf numFmtId="0" fontId="0" fillId="10" borderId="0" xfId="0" applyFont="1" applyFill="1" applyAlignment="1">
      <alignment horizontal="center" vertical="center"/>
    </xf>
    <xf numFmtId="0" fontId="0" fillId="14" borderId="0" xfId="0" applyFill="1" applyAlignment="1">
      <alignment horizontal="center" vertical="center"/>
    </xf>
    <xf numFmtId="0" fontId="0" fillId="0" borderId="0" xfId="0" applyAlignment="1">
      <alignment horizontal="center" wrapText="1"/>
    </xf>
    <xf numFmtId="0" fontId="0" fillId="11" borderId="0" xfId="0" applyFill="1" applyAlignment="1">
      <alignment horizontal="center" vertical="center"/>
    </xf>
    <xf numFmtId="0" fontId="0" fillId="1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4" fontId="0" fillId="18" borderId="0" xfId="0" applyNumberFormat="1" applyFont="1" applyFill="1" applyAlignment="1">
      <alignment horizontal="center" vertical="center"/>
    </xf>
    <xf numFmtId="10" fontId="0" fillId="6" borderId="0" xfId="0" applyNumberFormat="1" applyFont="1" applyFill="1" applyAlignment="1">
      <alignment horizontal="center" vertical="center"/>
    </xf>
    <xf numFmtId="10" fontId="3" fillId="8" borderId="0" xfId="0" applyNumberFormat="1" applyFont="1" applyFill="1" applyBorder="1" applyAlignment="1">
      <alignment horizontal="center" vertical="center" wrapText="1"/>
    </xf>
    <xf numFmtId="10" fontId="0" fillId="9" borderId="0" xfId="0" applyNumberFormat="1" applyFill="1" applyAlignment="1">
      <alignment horizontal="center" vertical="center"/>
    </xf>
    <xf numFmtId="10" fontId="0" fillId="10" borderId="0" xfId="0" applyNumberFormat="1" applyFill="1" applyAlignment="1">
      <alignment horizontal="center" vertical="center"/>
    </xf>
    <xf numFmtId="10" fontId="0" fillId="11" borderId="0" xfId="0" applyNumberFormat="1" applyFill="1" applyAlignment="1">
      <alignment horizontal="center" vertical="center"/>
    </xf>
    <xf numFmtId="10" fontId="0" fillId="14" borderId="0" xfId="0" applyNumberFormat="1" applyFill="1" applyAlignment="1">
      <alignment horizontal="center" vertical="center"/>
    </xf>
    <xf numFmtId="10" fontId="0" fillId="12" borderId="0" xfId="0" applyNumberFormat="1" applyFill="1" applyAlignment="1">
      <alignment horizontal="center" vertical="center"/>
    </xf>
    <xf numFmtId="10" fontId="0" fillId="13" borderId="0" xfId="0" applyNumberFormat="1" applyFill="1" applyAlignment="1">
      <alignment horizontal="center" vertical="center"/>
    </xf>
    <xf numFmtId="10" fontId="0" fillId="19" borderId="0" xfId="0" applyNumberFormat="1" applyFont="1" applyFill="1" applyAlignment="1">
      <alignment horizontal="center" vertical="center"/>
    </xf>
    <xf numFmtId="10" fontId="0" fillId="7" borderId="0" xfId="0" applyNumberFormat="1" applyFill="1" applyAlignment="1">
      <alignment horizontal="center" vertical="center"/>
    </xf>
    <xf numFmtId="4" fontId="0" fillId="5" borderId="0" xfId="0" applyNumberFormat="1" applyFill="1" applyAlignment="1">
      <alignment horizontal="center" vertical="center"/>
    </xf>
    <xf numFmtId="4" fontId="1" fillId="5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CC"/>
      <color rgb="FFFFCC66"/>
      <color rgb="FF66FFCC"/>
      <color rgb="FFCCFF66"/>
      <color rgb="FF6666FF"/>
      <color rgb="FFFF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EB529-21E8-4EC7-95CD-FA482C8DCD5D}">
  <dimension ref="B3:N51"/>
  <sheetViews>
    <sheetView tabSelected="1" topLeftCell="A4" zoomScale="58" zoomScaleNormal="58" workbookViewId="0">
      <selection activeCell="B6" sqref="B6"/>
    </sheetView>
  </sheetViews>
  <sheetFormatPr defaultColWidth="10.90625" defaultRowHeight="14.5" x14ac:dyDescent="0.35"/>
  <cols>
    <col min="2" max="2" width="28.81640625" customWidth="1"/>
    <col min="3" max="3" width="13" customWidth="1"/>
    <col min="4" max="4" width="18.81640625" customWidth="1"/>
    <col min="5" max="5" width="18.26953125" customWidth="1"/>
    <col min="6" max="7" width="14.453125" customWidth="1"/>
    <col min="8" max="9" width="19.81640625" customWidth="1"/>
    <col min="10" max="11" width="18.1796875" customWidth="1"/>
    <col min="12" max="12" width="16.81640625" customWidth="1"/>
  </cols>
  <sheetData>
    <row r="3" spans="2:12" ht="18.5" x14ac:dyDescent="0.45">
      <c r="B3" s="23" t="s">
        <v>41</v>
      </c>
      <c r="C3" s="23"/>
      <c r="D3" s="1"/>
      <c r="E3" s="1"/>
      <c r="F3" s="1"/>
      <c r="G3" s="1"/>
    </row>
    <row r="4" spans="2:12" ht="15.5" x14ac:dyDescent="0.45">
      <c r="B4" s="67" t="s">
        <v>38</v>
      </c>
      <c r="C4" s="68"/>
      <c r="D4" s="68"/>
      <c r="E4" s="68"/>
      <c r="F4" s="68"/>
      <c r="G4" s="50"/>
    </row>
    <row r="5" spans="2:12" ht="15.5" x14ac:dyDescent="0.45">
      <c r="B5" s="67" t="s">
        <v>50</v>
      </c>
      <c r="C5" s="68"/>
      <c r="D5" s="68"/>
      <c r="E5" s="68"/>
      <c r="F5" s="68"/>
      <c r="G5" s="50"/>
    </row>
    <row r="6" spans="2:12" x14ac:dyDescent="0.35">
      <c r="B6" s="39" t="s">
        <v>42</v>
      </c>
      <c r="C6" s="39"/>
    </row>
    <row r="7" spans="2:12" ht="77.5" x14ac:dyDescent="0.35">
      <c r="B7" s="26" t="s">
        <v>0</v>
      </c>
      <c r="C7" s="27" t="s">
        <v>43</v>
      </c>
      <c r="D7" s="27" t="s">
        <v>44</v>
      </c>
      <c r="E7" s="27" t="s">
        <v>40</v>
      </c>
      <c r="F7" s="27" t="s">
        <v>45</v>
      </c>
      <c r="G7" s="27" t="s">
        <v>47</v>
      </c>
      <c r="H7" s="27" t="s">
        <v>1</v>
      </c>
      <c r="I7" s="27" t="s">
        <v>48</v>
      </c>
      <c r="J7" s="27" t="s">
        <v>39</v>
      </c>
      <c r="K7" s="27" t="s">
        <v>49</v>
      </c>
      <c r="L7" s="27" t="s">
        <v>46</v>
      </c>
    </row>
    <row r="8" spans="2:12" x14ac:dyDescent="0.35">
      <c r="B8" s="3" t="s">
        <v>5</v>
      </c>
      <c r="C8" s="3"/>
      <c r="D8" s="4"/>
      <c r="E8" s="4"/>
      <c r="F8" s="4"/>
      <c r="G8" s="4"/>
      <c r="H8" s="4"/>
      <c r="I8" s="4"/>
      <c r="J8" s="4"/>
      <c r="K8" s="4"/>
      <c r="L8" s="22"/>
    </row>
    <row r="9" spans="2:12" x14ac:dyDescent="0.35">
      <c r="B9" s="6" t="s">
        <v>2</v>
      </c>
      <c r="C9" s="7">
        <v>2047.52</v>
      </c>
      <c r="D9" s="7">
        <v>1177</v>
      </c>
      <c r="E9" s="7">
        <f>(C9+D9)</f>
        <v>3224.52</v>
      </c>
      <c r="F9" s="8">
        <f>(C9/27.29)</f>
        <v>75.028215463539766</v>
      </c>
      <c r="G9" s="54"/>
      <c r="H9" s="8">
        <f>(D9/27.29)</f>
        <v>43.129351410773175</v>
      </c>
      <c r="I9" s="54"/>
      <c r="J9" s="8">
        <f t="shared" ref="J9" si="0">(E9/27.29)</f>
        <v>118.15756687431293</v>
      </c>
      <c r="K9" s="54"/>
      <c r="L9" s="40">
        <v>152.13</v>
      </c>
    </row>
    <row r="10" spans="2:12" x14ac:dyDescent="0.35">
      <c r="B10" s="9" t="s">
        <v>3</v>
      </c>
      <c r="C10" s="11">
        <v>2702.73</v>
      </c>
      <c r="D10" s="11">
        <v>1177</v>
      </c>
      <c r="E10" s="7">
        <f t="shared" ref="E10:E11" si="1">(C10+D10)</f>
        <v>3879.73</v>
      </c>
      <c r="F10" s="8">
        <f>(C10/42.01)</f>
        <v>64.335396334206152</v>
      </c>
      <c r="G10" s="55">
        <f>(F10/F9)-1</f>
        <v>-0.14251730583316125</v>
      </c>
      <c r="H10" s="8">
        <f t="shared" ref="H10" si="2">(D10/42.01)</f>
        <v>28.01713877648179</v>
      </c>
      <c r="I10" s="55">
        <f>(H10/H9)-1</f>
        <v>-0.35039276362770766</v>
      </c>
      <c r="J10" s="8">
        <f>(E10/42.01)</f>
        <v>92.352535110687938</v>
      </c>
      <c r="K10" s="55">
        <f>(J10/J9)-1</f>
        <v>-0.21839508417666076</v>
      </c>
      <c r="L10" s="40">
        <v>169.56</v>
      </c>
    </row>
    <row r="11" spans="2:12" x14ac:dyDescent="0.35">
      <c r="B11" s="10" t="s">
        <v>4</v>
      </c>
      <c r="C11" s="11">
        <v>2973</v>
      </c>
      <c r="D11" s="11">
        <v>1177</v>
      </c>
      <c r="E11" s="7">
        <f t="shared" si="1"/>
        <v>4150</v>
      </c>
      <c r="F11" s="8">
        <f>(C11/62.19)</f>
        <v>47.805113362276899</v>
      </c>
      <c r="G11" s="55">
        <f>(F11/F10)-1</f>
        <v>-0.2569391643452168</v>
      </c>
      <c r="H11" s="8">
        <f t="shared" ref="H11" si="3">(D11/62.19)</f>
        <v>18.925872326740635</v>
      </c>
      <c r="I11" s="55">
        <f>(H11/H10)-1</f>
        <v>-0.32448946776009002</v>
      </c>
      <c r="J11" s="8">
        <f>(E11/62.19)</f>
        <v>66.73098568901753</v>
      </c>
      <c r="K11" s="55">
        <f>(J11/J10)-1</f>
        <v>-0.27743200975438342</v>
      </c>
      <c r="L11" s="40">
        <v>128.29</v>
      </c>
    </row>
    <row r="12" spans="2:12" x14ac:dyDescent="0.35">
      <c r="B12" s="3" t="s">
        <v>6</v>
      </c>
      <c r="C12" s="5"/>
      <c r="D12" s="5"/>
      <c r="E12" s="5"/>
      <c r="F12" s="5"/>
      <c r="G12" s="5"/>
      <c r="H12" s="5"/>
      <c r="I12" s="5"/>
      <c r="J12" s="65">
        <f>AVERAGE(J9:J11)</f>
        <v>92.413695891339458</v>
      </c>
      <c r="K12" s="5"/>
      <c r="L12" s="41"/>
    </row>
    <row r="13" spans="2:12" x14ac:dyDescent="0.35">
      <c r="B13" s="12" t="s">
        <v>7</v>
      </c>
      <c r="C13" s="15">
        <v>3270.3</v>
      </c>
      <c r="D13" s="15">
        <v>1177</v>
      </c>
      <c r="E13" s="14">
        <f>SUM(C13:D13)</f>
        <v>4447.3</v>
      </c>
      <c r="F13" s="36">
        <f>(C13/73.34)</f>
        <v>44.590946277611124</v>
      </c>
      <c r="G13" s="64">
        <f>(F13/F11)-1</f>
        <v>-6.7234796836651345E-2</v>
      </c>
      <c r="H13" s="36">
        <f t="shared" ref="H13" si="4">(D13/79.88)</f>
        <v>14.734601902854282</v>
      </c>
      <c r="I13" s="64">
        <f>(H13/H11)-1</f>
        <v>-0.22145718577866802</v>
      </c>
      <c r="J13" s="36">
        <f>(E13/79.88)</f>
        <v>55.674762143214828</v>
      </c>
      <c r="K13" s="63">
        <f>(J13/J11)-1</f>
        <v>-0.16568350417192046</v>
      </c>
      <c r="L13" s="42">
        <v>107.54</v>
      </c>
    </row>
    <row r="14" spans="2:12" x14ac:dyDescent="0.35">
      <c r="B14" s="13" t="s">
        <v>10</v>
      </c>
      <c r="C14" s="15">
        <v>3270.3</v>
      </c>
      <c r="D14" s="15">
        <v>1397</v>
      </c>
      <c r="E14" s="14">
        <f>SUM(C14:D14)</f>
        <v>4667.3</v>
      </c>
      <c r="F14" s="36">
        <f>(C14/78.96)</f>
        <v>41.417173252279639</v>
      </c>
      <c r="G14" s="64">
        <f>(F14/F13)-1</f>
        <v>-7.1175278622087057E-2</v>
      </c>
      <c r="H14" s="36">
        <f t="shared" ref="H14" si="5">(D14/86)</f>
        <v>16.244186046511629</v>
      </c>
      <c r="I14" s="64">
        <f>(H14/H13)-1</f>
        <v>0.10245164094762016</v>
      </c>
      <c r="J14" s="36">
        <f>(E14/86)</f>
        <v>54.270930232558143</v>
      </c>
      <c r="K14" s="63">
        <f>(J14/J13)-1</f>
        <v>-2.5214870376015996E-2</v>
      </c>
      <c r="L14" s="43">
        <v>103</v>
      </c>
    </row>
    <row r="15" spans="2:12" x14ac:dyDescent="0.35">
      <c r="B15" s="12" t="s">
        <v>8</v>
      </c>
      <c r="C15" s="15">
        <v>4251.3999999999996</v>
      </c>
      <c r="D15" s="15">
        <v>1397</v>
      </c>
      <c r="E15" s="14">
        <f>SUM(C15:D15)</f>
        <v>5648.4</v>
      </c>
      <c r="F15" s="36">
        <f>(C15/69.39)</f>
        <v>61.268194264303204</v>
      </c>
      <c r="G15" s="64">
        <f t="shared" ref="G15:G16" si="6">(F15/F14)-1</f>
        <v>0.47929444366247154</v>
      </c>
      <c r="H15" s="36">
        <f t="shared" ref="H15" si="7">(D15/69.39)</f>
        <v>20.132583945813519</v>
      </c>
      <c r="I15" s="64">
        <f t="shared" ref="I15:I16" si="8">(H15/H14)-1</f>
        <v>0.23937166738723148</v>
      </c>
      <c r="J15" s="36">
        <f>(E15/69.39)</f>
        <v>81.400778210116727</v>
      </c>
      <c r="K15" s="63">
        <f t="shared" ref="K15:K16" si="9">(J15/J14)-1</f>
        <v>0.49989649820453752</v>
      </c>
      <c r="L15" s="43">
        <v>145.28</v>
      </c>
    </row>
    <row r="16" spans="2:12" x14ac:dyDescent="0.35">
      <c r="B16" s="12" t="s">
        <v>9</v>
      </c>
      <c r="C16" s="15">
        <v>4889.1099999999997</v>
      </c>
      <c r="D16" s="15">
        <v>2095.5</v>
      </c>
      <c r="E16" s="14">
        <f>SUM(C16:D16)</f>
        <v>6984.61</v>
      </c>
      <c r="F16" s="36">
        <f>(C16/158.85)</f>
        <v>30.778155492603084</v>
      </c>
      <c r="G16" s="64">
        <f t="shared" si="6"/>
        <v>-0.4976487252124645</v>
      </c>
      <c r="H16" s="36">
        <f t="shared" ref="H16" si="10">(D16/158.85)</f>
        <v>13.191690273843248</v>
      </c>
      <c r="I16" s="64">
        <f t="shared" si="8"/>
        <v>-0.34475920679886685</v>
      </c>
      <c r="J16" s="36">
        <f>(E16/158.85)</f>
        <v>43.969845766446333</v>
      </c>
      <c r="K16" s="63">
        <f t="shared" si="9"/>
        <v>-0.45983506873916313</v>
      </c>
      <c r="L16" s="42">
        <v>108.46</v>
      </c>
    </row>
    <row r="17" spans="2:14" x14ac:dyDescent="0.35">
      <c r="B17" s="3" t="s">
        <v>11</v>
      </c>
      <c r="C17" s="5"/>
      <c r="D17" s="5"/>
      <c r="E17" s="5"/>
      <c r="F17" s="5"/>
      <c r="G17" s="5"/>
      <c r="H17" s="5"/>
      <c r="I17" s="5"/>
      <c r="J17" s="65">
        <f>AVERAGE(J13:J16)</f>
        <v>58.829079088084008</v>
      </c>
      <c r="K17" s="5"/>
      <c r="L17" s="22"/>
    </row>
    <row r="18" spans="2:14" x14ac:dyDescent="0.35">
      <c r="B18" s="18" t="s">
        <v>12</v>
      </c>
      <c r="C18" s="19">
        <v>5622.48</v>
      </c>
      <c r="D18" s="19">
        <v>2475</v>
      </c>
      <c r="E18" s="20">
        <f>SUM(C18:D18)</f>
        <v>8097.48</v>
      </c>
      <c r="F18" s="20">
        <f>(C18/190)</f>
        <v>29.591999999999999</v>
      </c>
      <c r="G18" s="56">
        <f>(F18/F16)-1</f>
        <v>-3.8538875173600107E-2</v>
      </c>
      <c r="H18" s="20">
        <f t="shared" ref="H18" si="11">(D18/190)</f>
        <v>13.026315789473685</v>
      </c>
      <c r="I18" s="56">
        <f>(H18/H16)-1</f>
        <v>-1.2536261914628977E-2</v>
      </c>
      <c r="J18" s="20">
        <f>(E18/190)</f>
        <v>42.618315789473684</v>
      </c>
      <c r="K18" s="56">
        <f>(J18/J16)-1</f>
        <v>-3.0737655623163662E-2</v>
      </c>
      <c r="L18" s="45">
        <v>102.36</v>
      </c>
      <c r="M18" s="16"/>
      <c r="N18" s="16"/>
    </row>
    <row r="19" spans="2:14" x14ac:dyDescent="0.35">
      <c r="B19" s="18" t="s">
        <v>13</v>
      </c>
      <c r="C19" s="19">
        <v>6746.98</v>
      </c>
      <c r="D19" s="19">
        <v>2475</v>
      </c>
      <c r="E19" s="20">
        <f>SUM(C19:D19)</f>
        <v>9221.98</v>
      </c>
      <c r="F19" s="20">
        <f>(C19/300.45)</f>
        <v>22.456248959893493</v>
      </c>
      <c r="G19" s="56">
        <f>(F19/F18)-1</f>
        <v>-0.24113784266377758</v>
      </c>
      <c r="H19" s="20">
        <f t="shared" ref="H19" si="12">(D19/300.45)</f>
        <v>8.2376435346979537</v>
      </c>
      <c r="I19" s="56">
        <f>(H19/H18)-1</f>
        <v>-0.36761524380096522</v>
      </c>
      <c r="J19" s="20">
        <f>(E19/300.45)</f>
        <v>30.693892494591445</v>
      </c>
      <c r="K19" s="56">
        <f>(J19/J18)-1</f>
        <v>-0.27979574213553171</v>
      </c>
      <c r="L19" s="45">
        <v>82.31</v>
      </c>
      <c r="M19" s="16"/>
      <c r="N19" s="16"/>
    </row>
    <row r="20" spans="2:14" x14ac:dyDescent="0.35">
      <c r="B20" s="18" t="s">
        <v>14</v>
      </c>
      <c r="C20" s="19">
        <v>7421.68</v>
      </c>
      <c r="D20" s="19">
        <v>2475</v>
      </c>
      <c r="E20" s="20">
        <f>SUM(C20:D20)</f>
        <v>9896.68</v>
      </c>
      <c r="F20" s="20">
        <f>(C20/439.5)</f>
        <v>16.886643913538112</v>
      </c>
      <c r="G20" s="56">
        <f t="shared" ref="G20:G21" si="13">(F20/F19)-1</f>
        <v>-0.2480202751716285</v>
      </c>
      <c r="H20" s="20">
        <f t="shared" ref="H20" si="14">(D20/439.5)</f>
        <v>5.6313993174061432</v>
      </c>
      <c r="I20" s="56">
        <f t="shared" ref="I20:I21" si="15">(H20/H19)-1</f>
        <v>-0.31638225255972707</v>
      </c>
      <c r="J20" s="20">
        <f>(E20/439.5)</f>
        <v>22.518043230944254</v>
      </c>
      <c r="K20" s="56">
        <f t="shared" ref="K20:K21" si="16">(J20/J19)-1</f>
        <v>-0.26636729978408091</v>
      </c>
      <c r="L20" s="45">
        <v>94.75</v>
      </c>
      <c r="M20" s="16"/>
      <c r="N20" s="16"/>
    </row>
    <row r="21" spans="2:14" x14ac:dyDescent="0.35">
      <c r="B21" s="18" t="s">
        <v>15</v>
      </c>
      <c r="C21" s="19">
        <v>9648.18</v>
      </c>
      <c r="D21" s="19">
        <v>6750</v>
      </c>
      <c r="E21" s="21">
        <f>SUM(C21:D21)</f>
        <v>16398.18</v>
      </c>
      <c r="F21" s="20">
        <f>(C21/544.85)</f>
        <v>17.70795631825273</v>
      </c>
      <c r="G21" s="56">
        <f t="shared" si="13"/>
        <v>4.8636804857131288E-2</v>
      </c>
      <c r="H21" s="20">
        <f t="shared" ref="H21" si="17">(D21/544.85)</f>
        <v>12.388730843351381</v>
      </c>
      <c r="I21" s="56">
        <f t="shared" si="15"/>
        <v>1.1999382649102754</v>
      </c>
      <c r="J21" s="20">
        <f>(E21/544.85)</f>
        <v>30.096687161604109</v>
      </c>
      <c r="K21" s="56">
        <f t="shared" si="16"/>
        <v>0.33655872550441224</v>
      </c>
      <c r="L21" s="46">
        <v>145.46</v>
      </c>
      <c r="M21" s="17"/>
      <c r="N21" s="17"/>
    </row>
    <row r="22" spans="2:14" x14ac:dyDescent="0.35">
      <c r="B22" s="3" t="s">
        <v>20</v>
      </c>
      <c r="C22" s="22"/>
      <c r="D22" s="22"/>
      <c r="E22" s="22"/>
      <c r="F22" s="22"/>
      <c r="G22" s="22"/>
      <c r="H22" s="22"/>
      <c r="I22" s="22"/>
      <c r="J22" s="66">
        <f>AVERAGE(J18:J21)</f>
        <v>31.481734669153372</v>
      </c>
      <c r="K22" s="22"/>
      <c r="L22" s="22"/>
    </row>
    <row r="23" spans="2:14" x14ac:dyDescent="0.35">
      <c r="B23" s="24" t="s">
        <v>16</v>
      </c>
      <c r="C23" s="25">
        <v>9648.18</v>
      </c>
      <c r="D23" s="25">
        <v>7965</v>
      </c>
      <c r="E23" s="25">
        <f t="shared" ref="E23:E28" si="18">SUM(C23:D23)</f>
        <v>17613.18</v>
      </c>
      <c r="F23" s="25">
        <f>(C23/594.7)</f>
        <v>16.223608542122079</v>
      </c>
      <c r="G23" s="57">
        <f>(F23/F21)-1</f>
        <v>-8.3823776694131436E-2</v>
      </c>
      <c r="H23" s="25">
        <f t="shared" ref="H23" si="19">(D23/594.7)</f>
        <v>13.393307550025222</v>
      </c>
      <c r="I23" s="57">
        <f>(H23/H21)-1</f>
        <v>8.1087943500924853E-2</v>
      </c>
      <c r="J23" s="25">
        <f>(E23/594.7)</f>
        <v>29.616916092147299</v>
      </c>
      <c r="K23" s="57">
        <f>(J23/J21)-1</f>
        <v>-1.5940992670744114E-2</v>
      </c>
      <c r="L23" s="44">
        <v>185.1</v>
      </c>
      <c r="M23" s="2"/>
      <c r="N23" s="2"/>
    </row>
    <row r="24" spans="2:14" x14ac:dyDescent="0.35">
      <c r="B24" s="24" t="s">
        <v>17</v>
      </c>
      <c r="C24" s="25">
        <v>11577.81</v>
      </c>
      <c r="D24" s="25">
        <v>13275</v>
      </c>
      <c r="E24" s="25">
        <f t="shared" si="18"/>
        <v>24852.809999999998</v>
      </c>
      <c r="F24" s="25">
        <f>(C24/644.3)</f>
        <v>17.969594909203789</v>
      </c>
      <c r="G24" s="57">
        <f>(F24/F23)-1</f>
        <v>0.1076200995942751</v>
      </c>
      <c r="H24" s="25">
        <f t="shared" ref="H24" si="20">(D24/644.3)</f>
        <v>20.603756014279064</v>
      </c>
      <c r="I24" s="57">
        <f>(H24/H23)-1</f>
        <v>0.53836204666563225</v>
      </c>
      <c r="J24" s="25">
        <f>(E24/644.3)</f>
        <v>38.573350923482849</v>
      </c>
      <c r="K24" s="57">
        <f>(J24/J23)-1</f>
        <v>0.30240943396906483</v>
      </c>
      <c r="L24" s="44">
        <v>189.31</v>
      </c>
      <c r="M24" s="2"/>
      <c r="N24" s="2"/>
    </row>
    <row r="25" spans="2:14" x14ac:dyDescent="0.35">
      <c r="B25" s="24" t="s">
        <v>13</v>
      </c>
      <c r="C25" s="25">
        <v>15051.17</v>
      </c>
      <c r="D25" s="25">
        <v>18585</v>
      </c>
      <c r="E25" s="25">
        <f t="shared" si="18"/>
        <v>33636.17</v>
      </c>
      <c r="F25" s="25">
        <f>(C25/766.55)</f>
        <v>19.634948796555999</v>
      </c>
      <c r="G25" s="57">
        <f t="shared" ref="G25:G28" si="21">(F25/F24)-1</f>
        <v>9.2676206434639141E-2</v>
      </c>
      <c r="H25" s="25">
        <f t="shared" ref="H25" si="22">(D25/766.55)</f>
        <v>24.244993803404867</v>
      </c>
      <c r="I25" s="57">
        <f t="shared" ref="I25:I28" si="23">(H25/H24)-1</f>
        <v>0.17672689322288182</v>
      </c>
      <c r="J25" s="25">
        <f>(E25/766.55)</f>
        <v>43.879942599960863</v>
      </c>
      <c r="K25" s="57">
        <f t="shared" ref="K25:K28" si="24">(J25/J24)-1</f>
        <v>0.13757144633362528</v>
      </c>
      <c r="L25" s="44">
        <v>295.43</v>
      </c>
      <c r="M25" s="47"/>
      <c r="N25" s="2"/>
    </row>
    <row r="26" spans="2:14" x14ac:dyDescent="0.35">
      <c r="B26" s="24" t="s">
        <v>18</v>
      </c>
      <c r="C26" s="25">
        <v>15051.17</v>
      </c>
      <c r="D26" s="25">
        <v>42480</v>
      </c>
      <c r="E26" s="25">
        <f t="shared" si="18"/>
        <v>57531.17</v>
      </c>
      <c r="F26" s="25">
        <f>(C26/895.7)</f>
        <v>16.80380707826281</v>
      </c>
      <c r="G26" s="57">
        <f t="shared" si="21"/>
        <v>-0.14418890253433081</v>
      </c>
      <c r="H26" s="25">
        <f t="shared" ref="H26" si="25">(D26/895.7)</f>
        <v>47.42659372557776</v>
      </c>
      <c r="I26" s="57">
        <f t="shared" si="23"/>
        <v>0.95613965135010126</v>
      </c>
      <c r="J26" s="25">
        <f>(E26/895.7)</f>
        <v>64.230400803840567</v>
      </c>
      <c r="K26" s="57">
        <f t="shared" si="24"/>
        <v>0.46377586200164833</v>
      </c>
      <c r="L26" s="44">
        <v>335</v>
      </c>
      <c r="M26" s="2"/>
      <c r="N26" s="2"/>
    </row>
    <row r="27" spans="2:14" x14ac:dyDescent="0.35">
      <c r="B27" s="24" t="s">
        <v>19</v>
      </c>
      <c r="C27" s="25">
        <v>22576.73</v>
      </c>
      <c r="D27" s="25">
        <v>42480</v>
      </c>
      <c r="E27" s="25">
        <f t="shared" si="18"/>
        <v>65056.729999999996</v>
      </c>
      <c r="F27" s="25">
        <f>(C27/941.45)</f>
        <v>23.980806203197194</v>
      </c>
      <c r="G27" s="57">
        <f t="shared" si="21"/>
        <v>0.42710554170896531</v>
      </c>
      <c r="H27" s="25">
        <f t="shared" ref="H27" si="26">(D27/941.45)</f>
        <v>45.121886451749958</v>
      </c>
      <c r="I27" s="57">
        <f t="shared" si="23"/>
        <v>-4.8595252004886125E-2</v>
      </c>
      <c r="J27" s="25">
        <f>(E27/941.45)</f>
        <v>69.102692654947148</v>
      </c>
      <c r="K27" s="57">
        <f t="shared" si="24"/>
        <v>7.5856475907515319E-2</v>
      </c>
      <c r="L27" s="44">
        <v>331</v>
      </c>
      <c r="M27" s="2"/>
      <c r="N27" s="2"/>
    </row>
    <row r="28" spans="2:14" x14ac:dyDescent="0.35">
      <c r="B28" s="24" t="s">
        <v>15</v>
      </c>
      <c r="C28" s="25">
        <v>27092.1</v>
      </c>
      <c r="D28" s="25">
        <v>63720</v>
      </c>
      <c r="E28" s="25">
        <f t="shared" si="18"/>
        <v>90812.1</v>
      </c>
      <c r="F28" s="25">
        <f>(C28/2566.95)</f>
        <v>10.554198562496348</v>
      </c>
      <c r="G28" s="57">
        <f t="shared" si="21"/>
        <v>-0.55988975211812397</v>
      </c>
      <c r="H28" s="25">
        <f t="shared" ref="H28" si="27">(D28/2566.95)</f>
        <v>24.823233798866362</v>
      </c>
      <c r="I28" s="57">
        <f t="shared" si="23"/>
        <v>-0.44986267749663988</v>
      </c>
      <c r="J28" s="25">
        <f>(E28/2566.95)</f>
        <v>35.377432361362715</v>
      </c>
      <c r="K28" s="57">
        <f t="shared" si="24"/>
        <v>-0.48804553046848598</v>
      </c>
      <c r="L28" s="44">
        <v>179</v>
      </c>
      <c r="M28" s="2"/>
      <c r="N28" s="2"/>
    </row>
    <row r="29" spans="2:14" x14ac:dyDescent="0.35">
      <c r="B29" s="3" t="s">
        <v>21</v>
      </c>
      <c r="C29" s="22"/>
      <c r="D29" s="22"/>
      <c r="E29" s="22"/>
      <c r="F29" s="22"/>
      <c r="G29" s="22"/>
      <c r="H29" s="22"/>
      <c r="I29" s="22"/>
      <c r="J29" s="66">
        <f>AVERAGE(J23:J28)</f>
        <v>46.796789239290234</v>
      </c>
      <c r="K29" s="22"/>
      <c r="L29" s="22"/>
    </row>
    <row r="30" spans="2:14" x14ac:dyDescent="0.35">
      <c r="B30" s="28" t="s">
        <v>22</v>
      </c>
      <c r="C30" s="29">
        <v>40638.15</v>
      </c>
      <c r="D30" s="29">
        <v>63720</v>
      </c>
      <c r="E30" s="29">
        <f t="shared" ref="E30:E35" si="28">SUM(C30:D30)</f>
        <v>104358.15</v>
      </c>
      <c r="F30" s="29">
        <f>(C30/2052.45)</f>
        <v>19.799824599868451</v>
      </c>
      <c r="G30" s="58">
        <f>(F30/F28)-1</f>
        <v>0.87601403201052408</v>
      </c>
      <c r="H30" s="29">
        <f t="shared" ref="H30" si="29">(D30/2052.45)</f>
        <v>31.045823284367465</v>
      </c>
      <c r="I30" s="58">
        <f>(H30/H28)-1</f>
        <v>0.25067602134034916</v>
      </c>
      <c r="J30" s="29">
        <f>(E30/2052.45)</f>
        <v>50.845647884235916</v>
      </c>
      <c r="K30" s="58">
        <f>(J30/J28)-1</f>
        <v>0.43723397913317008</v>
      </c>
      <c r="L30" s="48">
        <v>181</v>
      </c>
    </row>
    <row r="31" spans="2:14" x14ac:dyDescent="0.35">
      <c r="B31" s="28" t="s">
        <v>23</v>
      </c>
      <c r="C31" s="29">
        <v>40638.15</v>
      </c>
      <c r="D31" s="29">
        <v>108000</v>
      </c>
      <c r="E31" s="29">
        <f t="shared" si="28"/>
        <v>148638.15</v>
      </c>
      <c r="F31" s="29">
        <f>(C31/2430.6)</f>
        <v>16.719390274006418</v>
      </c>
      <c r="G31" s="58">
        <f>(F31/F30)-1</f>
        <v>-0.15557886941495935</v>
      </c>
      <c r="H31" s="29">
        <f>(D31/2430.6)</f>
        <v>44.433473216489759</v>
      </c>
      <c r="I31" s="58">
        <f>(H31/H30)-1</f>
        <v>0.43122225522888269</v>
      </c>
      <c r="J31" s="29">
        <f>(E31/2430.6)</f>
        <v>61.152863490496173</v>
      </c>
      <c r="K31" s="58">
        <f>(J31/J30)-1</f>
        <v>0.20271578857107819</v>
      </c>
      <c r="L31" s="48">
        <v>253</v>
      </c>
    </row>
    <row r="32" spans="2:14" x14ac:dyDescent="0.35">
      <c r="B32" s="28" t="s">
        <v>13</v>
      </c>
      <c r="C32" s="29">
        <v>65021.04</v>
      </c>
      <c r="D32" s="29">
        <v>135000</v>
      </c>
      <c r="E32" s="29">
        <f t="shared" si="28"/>
        <v>200021.04</v>
      </c>
      <c r="F32" s="29">
        <f>(C32/3596.5)</f>
        <v>18.078976782983457</v>
      </c>
      <c r="G32" s="58">
        <f t="shared" ref="G32:G35" si="30">(F32/F31)-1</f>
        <v>8.1317948005004803E-2</v>
      </c>
      <c r="H32" s="29">
        <f>(D32/3596.5)</f>
        <v>37.536493813429722</v>
      </c>
      <c r="I32" s="58">
        <f t="shared" ref="I32:I35" si="31">(H32/H31)-1</f>
        <v>-0.15522035312109006</v>
      </c>
      <c r="J32" s="29">
        <f>(E32/3596.5)</f>
        <v>55.615470596413182</v>
      </c>
      <c r="K32" s="58">
        <f t="shared" ref="K32:K35" si="32">(J32/J31)-1</f>
        <v>-9.055001806977625E-2</v>
      </c>
      <c r="L32" s="48">
        <v>275</v>
      </c>
    </row>
    <row r="33" spans="2:12" x14ac:dyDescent="0.35">
      <c r="B33" s="28" t="s">
        <v>14</v>
      </c>
      <c r="C33" s="29">
        <v>97531.56</v>
      </c>
      <c r="D33" s="29">
        <v>153000</v>
      </c>
      <c r="E33" s="29">
        <f t="shared" si="28"/>
        <v>250531.56</v>
      </c>
      <c r="F33" s="29">
        <f>(C33/7701.5)</f>
        <v>12.663969356618841</v>
      </c>
      <c r="G33" s="58">
        <f t="shared" si="30"/>
        <v>-0.29951957410893981</v>
      </c>
      <c r="H33" s="29">
        <f t="shared" ref="H33" si="33">(D33/7701.5)</f>
        <v>19.86625981951568</v>
      </c>
      <c r="I33" s="58">
        <f t="shared" si="31"/>
        <v>-0.47074812266008781</v>
      </c>
      <c r="J33" s="29">
        <f>(E33/7701.5)</f>
        <v>32.530229176134519</v>
      </c>
      <c r="K33" s="58">
        <f t="shared" si="32"/>
        <v>-0.41508668672071802</v>
      </c>
      <c r="L33" s="48">
        <v>187</v>
      </c>
    </row>
    <row r="34" spans="2:12" x14ac:dyDescent="0.35">
      <c r="B34" s="28" t="s">
        <v>19</v>
      </c>
      <c r="C34" s="29">
        <v>136544.18</v>
      </c>
      <c r="D34" s="29">
        <v>189000</v>
      </c>
      <c r="E34" s="29">
        <f t="shared" si="28"/>
        <v>325544.18</v>
      </c>
      <c r="F34" s="29">
        <f>(C34/15772.15)</f>
        <v>8.6572965638800028</v>
      </c>
      <c r="G34" s="58">
        <f t="shared" si="30"/>
        <v>-0.31638364559408427</v>
      </c>
      <c r="H34" s="29">
        <f t="shared" ref="H34" si="34">(D34/15772.15)</f>
        <v>11.983147510009733</v>
      </c>
      <c r="I34" s="58">
        <f t="shared" si="31"/>
        <v>-0.39680908138339899</v>
      </c>
      <c r="J34" s="29">
        <f>(E34/15772.15)</f>
        <v>20.640444073889736</v>
      </c>
      <c r="K34" s="58">
        <f t="shared" si="32"/>
        <v>-0.36549958003270411</v>
      </c>
      <c r="L34" s="48">
        <v>170</v>
      </c>
    </row>
    <row r="35" spans="2:12" x14ac:dyDescent="0.35">
      <c r="B35" s="28" t="s">
        <v>15</v>
      </c>
      <c r="C35" s="29">
        <v>177507.44</v>
      </c>
      <c r="D35" s="29">
        <v>279000</v>
      </c>
      <c r="E35" s="29">
        <f t="shared" si="28"/>
        <v>456507.44</v>
      </c>
      <c r="F35" s="29">
        <f>(C35/58072.5)</f>
        <v>3.0566522880881659</v>
      </c>
      <c r="G35" s="58">
        <f t="shared" si="30"/>
        <v>-0.64692762162715556</v>
      </c>
      <c r="H35" s="29">
        <f t="shared" ref="H35" si="35">(D35/58072.5)</f>
        <v>4.8043394033320421</v>
      </c>
      <c r="I35" s="58">
        <f t="shared" si="31"/>
        <v>-0.59907533481342079</v>
      </c>
      <c r="J35" s="29">
        <f>(E35/58072.5)</f>
        <v>7.8609916914202076</v>
      </c>
      <c r="K35" s="58">
        <f t="shared" si="32"/>
        <v>-0.61914619359549539</v>
      </c>
      <c r="L35" s="48">
        <v>123</v>
      </c>
    </row>
    <row r="36" spans="2:12" x14ac:dyDescent="0.35">
      <c r="B36" s="3" t="s">
        <v>24</v>
      </c>
      <c r="C36" s="22"/>
      <c r="D36" s="22"/>
      <c r="E36" s="22"/>
      <c r="F36" s="22"/>
      <c r="G36" s="22"/>
      <c r="H36" s="22"/>
      <c r="I36" s="22"/>
      <c r="J36" s="66">
        <f>AVERAGE(J30:J35)</f>
        <v>38.107607818764954</v>
      </c>
      <c r="K36" s="22"/>
      <c r="L36" s="22"/>
    </row>
    <row r="37" spans="2:12" x14ac:dyDescent="0.35">
      <c r="B37" s="30" t="s">
        <v>25</v>
      </c>
      <c r="C37" s="31">
        <v>248510.42</v>
      </c>
      <c r="D37" s="31">
        <v>549000</v>
      </c>
      <c r="E37" s="31">
        <f t="shared" ref="E37:E42" si="36">SUM(C37:D37)</f>
        <v>797510.42</v>
      </c>
      <c r="F37" s="31">
        <f>(C37/123411.5)</f>
        <v>2.0136731179833323</v>
      </c>
      <c r="G37" s="59">
        <f>(F37/F35)-1</f>
        <v>-0.34121616455013348</v>
      </c>
      <c r="H37" s="31">
        <f t="shared" ref="H37" si="37">(D37/123411.5)</f>
        <v>4.4485319439436362</v>
      </c>
      <c r="I37" s="59">
        <f>(H37/H35)-1</f>
        <v>-7.4059601022699706E-2</v>
      </c>
      <c r="J37" s="31">
        <f>(E37/123411.5)</f>
        <v>6.4622050619269684</v>
      </c>
      <c r="K37" s="59">
        <f>(J37/J35)-1</f>
        <v>-0.17794022489807859</v>
      </c>
      <c r="L37" s="51">
        <v>197.73</v>
      </c>
    </row>
    <row r="38" spans="2:12" x14ac:dyDescent="0.35">
      <c r="B38" s="30" t="s">
        <v>26</v>
      </c>
      <c r="C38" s="31">
        <v>392646.46</v>
      </c>
      <c r="D38" s="31">
        <v>915000</v>
      </c>
      <c r="E38" s="31">
        <f t="shared" si="36"/>
        <v>1307646.46</v>
      </c>
      <c r="F38" s="31">
        <f>(C38/187239)</f>
        <v>2.0970335239987397</v>
      </c>
      <c r="G38" s="59">
        <f>(F38/F37)-1</f>
        <v>4.1397188685168507E-2</v>
      </c>
      <c r="H38" s="31">
        <f t="shared" ref="H38" si="38">(D38/187239)</f>
        <v>4.8868024289811416</v>
      </c>
      <c r="I38" s="59">
        <f>(H38/H37)-1</f>
        <v>9.8520251300921791E-2</v>
      </c>
      <c r="J38" s="31">
        <f>(E38/187239)</f>
        <v>6.9838359529798808</v>
      </c>
      <c r="K38" s="59">
        <f>(J38/J37)-1</f>
        <v>8.0720262828887446E-2</v>
      </c>
      <c r="L38" s="51">
        <v>277</v>
      </c>
    </row>
    <row r="39" spans="2:12" x14ac:dyDescent="0.35">
      <c r="B39" s="30" t="s">
        <v>32</v>
      </c>
      <c r="C39" s="31">
        <v>1000000</v>
      </c>
      <c r="D39" s="31">
        <v>1555500</v>
      </c>
      <c r="E39" s="31">
        <f t="shared" si="36"/>
        <v>2555500</v>
      </c>
      <c r="F39" s="31">
        <f>(C39/1062450)</f>
        <v>0.94122076333003901</v>
      </c>
      <c r="G39" s="59">
        <f t="shared" ref="G39:G42" si="39">(F39/F38)-1</f>
        <v>-0.55116560962970818</v>
      </c>
      <c r="H39" s="31">
        <f t="shared" ref="H39" si="40">(D39/1062450)</f>
        <v>1.4640688973598757</v>
      </c>
      <c r="I39" s="59">
        <f t="shared" ref="I39:I42" si="41">(H39/H38)-1</f>
        <v>-0.70040350134123952</v>
      </c>
      <c r="J39" s="31">
        <f>(E39/1062450)</f>
        <v>2.405289660689915</v>
      </c>
      <c r="K39" s="59">
        <f t="shared" ref="K39:K42" si="42">(J39/J38)-1</f>
        <v>-0.65559190151601143</v>
      </c>
      <c r="L39" s="51">
        <v>210</v>
      </c>
    </row>
    <row r="40" spans="2:12" x14ac:dyDescent="0.35">
      <c r="B40" s="30" t="s">
        <v>27</v>
      </c>
      <c r="C40" s="31">
        <v>3000000</v>
      </c>
      <c r="D40" s="31">
        <v>2196000</v>
      </c>
      <c r="E40" s="31">
        <f t="shared" si="36"/>
        <v>5196000</v>
      </c>
      <c r="F40" s="31">
        <f>(C40/1572450)</f>
        <v>1.9078508060669657</v>
      </c>
      <c r="G40" s="59">
        <f t="shared" si="39"/>
        <v>1.0269960889058476</v>
      </c>
      <c r="H40" s="31">
        <f>(D40/1572450)</f>
        <v>1.3965467900410189</v>
      </c>
      <c r="I40" s="59">
        <f t="shared" si="41"/>
        <v>-4.6119487573718643E-2</v>
      </c>
      <c r="J40" s="31">
        <f>(E40/1572450)</f>
        <v>3.3043975961079846</v>
      </c>
      <c r="K40" s="59">
        <f t="shared" si="42"/>
        <v>0.37380443200349367</v>
      </c>
      <c r="L40" s="51">
        <v>240</v>
      </c>
    </row>
    <row r="41" spans="2:12" x14ac:dyDescent="0.35">
      <c r="B41" s="38" t="s">
        <v>28</v>
      </c>
      <c r="C41" s="37">
        <v>1800</v>
      </c>
      <c r="D41" s="37">
        <v>180</v>
      </c>
      <c r="E41" s="37">
        <f t="shared" si="36"/>
        <v>1980</v>
      </c>
      <c r="F41" s="37">
        <f>(C41/93.95)</f>
        <v>19.159127195316657</v>
      </c>
      <c r="G41" s="60">
        <f t="shared" si="39"/>
        <v>9.0422565194252247</v>
      </c>
      <c r="H41" s="37">
        <f t="shared" ref="H41" si="43">(D41/93.95)</f>
        <v>1.9159127195316656</v>
      </c>
      <c r="I41" s="60">
        <f t="shared" si="41"/>
        <v>0.37189296713459363</v>
      </c>
      <c r="J41" s="37">
        <f>(E41/93.95)</f>
        <v>21.075039914848322</v>
      </c>
      <c r="K41" s="60">
        <f t="shared" si="42"/>
        <v>5.3778765423601316</v>
      </c>
      <c r="L41" s="49">
        <v>93.09</v>
      </c>
    </row>
    <row r="42" spans="2:12" x14ac:dyDescent="0.35">
      <c r="B42" s="38" t="s">
        <v>29</v>
      </c>
      <c r="C42" s="37">
        <v>4500</v>
      </c>
      <c r="D42" s="37">
        <v>450</v>
      </c>
      <c r="E42" s="37">
        <f t="shared" si="36"/>
        <v>4950</v>
      </c>
      <c r="F42" s="37">
        <f>(C42/718.7)</f>
        <v>6.2613051342702093</v>
      </c>
      <c r="G42" s="60">
        <f t="shared" si="39"/>
        <v>-0.67319465701961878</v>
      </c>
      <c r="H42" s="37">
        <f>(D42/718.7)</f>
        <v>0.62613051342702097</v>
      </c>
      <c r="I42" s="60">
        <f t="shared" si="41"/>
        <v>-0.67319465701961878</v>
      </c>
      <c r="J42" s="37">
        <f>(E42/718.7)</f>
        <v>6.8874356476972309</v>
      </c>
      <c r="K42" s="60">
        <f t="shared" si="42"/>
        <v>-0.67319465701961878</v>
      </c>
      <c r="L42" s="49">
        <v>146</v>
      </c>
    </row>
    <row r="43" spans="2:12" x14ac:dyDescent="0.35">
      <c r="B43" s="3" t="s">
        <v>30</v>
      </c>
      <c r="C43" s="22"/>
      <c r="D43" s="22"/>
      <c r="E43" s="22"/>
      <c r="F43" s="22"/>
      <c r="G43" s="22"/>
      <c r="H43" s="22"/>
      <c r="I43" s="22"/>
      <c r="J43" s="66">
        <f>AVERAGE(J37:J42)</f>
        <v>7.8530339723750506</v>
      </c>
      <c r="K43" s="22"/>
      <c r="L43" s="22"/>
    </row>
    <row r="44" spans="2:12" x14ac:dyDescent="0.35">
      <c r="B44" s="32" t="s">
        <v>31</v>
      </c>
      <c r="C44" s="33">
        <v>18000</v>
      </c>
      <c r="D44" s="33">
        <v>1800</v>
      </c>
      <c r="E44" s="33">
        <f>SUM(C44:D44)</f>
        <v>19800</v>
      </c>
      <c r="F44" s="33">
        <f>(C44/2899.5)</f>
        <v>6.2079668908432488</v>
      </c>
      <c r="G44" s="61">
        <f>(F44/F42)-1</f>
        <v>-8.5187101224347694E-3</v>
      </c>
      <c r="H44" s="33">
        <f t="shared" ref="H44" si="44">(D44/2899.5)</f>
        <v>0.62079668908432484</v>
      </c>
      <c r="I44" s="61">
        <f>(H44/H42)-1</f>
        <v>-8.5187101224348805E-3</v>
      </c>
      <c r="J44" s="33">
        <f>(E44/2899.5)</f>
        <v>6.8287635799275739</v>
      </c>
      <c r="K44" s="61">
        <f>(J44/J42)-1</f>
        <v>-8.5187101224348805E-3</v>
      </c>
      <c r="L44" s="52">
        <v>156.26</v>
      </c>
    </row>
    <row r="45" spans="2:12" x14ac:dyDescent="0.35">
      <c r="B45" s="32" t="s">
        <v>32</v>
      </c>
      <c r="C45" s="33">
        <v>40000</v>
      </c>
      <c r="D45" s="33">
        <v>25000</v>
      </c>
      <c r="E45" s="33">
        <f>SUM(C45:D45)</f>
        <v>65000</v>
      </c>
      <c r="F45" s="33">
        <f>(C45/6268.5)</f>
        <v>6.3811119087500998</v>
      </c>
      <c r="G45" s="61">
        <f>(F45/F44)-1</f>
        <v>2.7890776634495351E-2</v>
      </c>
      <c r="H45" s="33">
        <f t="shared" ref="H45" si="45">(D45/6268.5)</f>
        <v>3.9881949429688124</v>
      </c>
      <c r="I45" s="61">
        <f>(H45/H44)-1</f>
        <v>5.4243173539655958</v>
      </c>
      <c r="J45" s="33">
        <f>(E45/6268.5)</f>
        <v>10.369306851718912</v>
      </c>
      <c r="K45" s="61">
        <f>(J45/J44)-1</f>
        <v>0.5184750109373224</v>
      </c>
      <c r="L45" s="52">
        <v>383.53</v>
      </c>
    </row>
    <row r="46" spans="2:12" x14ac:dyDescent="0.35">
      <c r="B46" s="32" t="s">
        <v>33</v>
      </c>
      <c r="C46" s="33">
        <v>150000</v>
      </c>
      <c r="D46" s="33">
        <v>150000</v>
      </c>
      <c r="E46" s="33">
        <f>SUM(C46:D46)</f>
        <v>300000</v>
      </c>
      <c r="F46" s="33">
        <f>(C46/26337)</f>
        <v>5.6954094999430458</v>
      </c>
      <c r="G46" s="61">
        <f>(F46/F45)-1</f>
        <v>-0.1074581387401754</v>
      </c>
      <c r="H46" s="33">
        <f t="shared" ref="H46" si="46">(D46/26337)</f>
        <v>5.6954094999430458</v>
      </c>
      <c r="I46" s="61">
        <f>(H46/H45)-1</f>
        <v>0.42806697801571936</v>
      </c>
      <c r="J46" s="33">
        <f>(E46/26337)</f>
        <v>11.390818999886092</v>
      </c>
      <c r="K46" s="61">
        <f>(J46/J45)-1</f>
        <v>9.8513060012091813E-2</v>
      </c>
      <c r="L46" s="52">
        <v>324</v>
      </c>
    </row>
    <row r="47" spans="2:12" x14ac:dyDescent="0.35">
      <c r="B47" s="3" t="s">
        <v>34</v>
      </c>
      <c r="C47" s="22"/>
      <c r="D47" s="22"/>
      <c r="E47" s="22"/>
      <c r="F47" s="22"/>
      <c r="G47" s="22"/>
      <c r="H47" s="22"/>
      <c r="I47" s="22"/>
      <c r="J47" s="66">
        <f>AVERAGE(J44:J46)</f>
        <v>9.5296298105108601</v>
      </c>
      <c r="K47" s="22"/>
      <c r="L47" s="22"/>
    </row>
    <row r="48" spans="2:12" x14ac:dyDescent="0.35">
      <c r="B48" s="34" t="s">
        <v>35</v>
      </c>
      <c r="C48" s="35">
        <v>250000</v>
      </c>
      <c r="D48" s="35">
        <v>200000</v>
      </c>
      <c r="E48" s="35">
        <f>SUM(C48:D48)</f>
        <v>450000</v>
      </c>
      <c r="F48" s="35">
        <f>(C48/74146)</f>
        <v>3.3717260540015643</v>
      </c>
      <c r="G48" s="62">
        <f>(F48/F46)-1</f>
        <v>-0.40799233943840529</v>
      </c>
      <c r="H48" s="35">
        <f t="shared" ref="H48" si="47">(D48/74146)</f>
        <v>2.6973808432012514</v>
      </c>
      <c r="I48" s="62">
        <f>(H48/H46)-1</f>
        <v>-0.52639387155072426</v>
      </c>
      <c r="J48" s="35">
        <f>(E48/74146)</f>
        <v>6.0691068972028157</v>
      </c>
      <c r="K48" s="62">
        <f>(J48/J46)-1</f>
        <v>-0.46719310549456483</v>
      </c>
      <c r="L48" s="53">
        <v>317.62</v>
      </c>
    </row>
    <row r="49" spans="2:12" x14ac:dyDescent="0.35">
      <c r="B49" s="34" t="s">
        <v>36</v>
      </c>
      <c r="C49" s="35">
        <v>400000</v>
      </c>
      <c r="D49" s="35">
        <v>400000</v>
      </c>
      <c r="E49" s="35">
        <f>SUM(C49:D49)</f>
        <v>800000</v>
      </c>
      <c r="F49" s="35">
        <f>(C49/196741)</f>
        <v>2.0331298509207536</v>
      </c>
      <c r="G49" s="62">
        <f>(F49/F48)-1</f>
        <v>-0.39700621629451915</v>
      </c>
      <c r="H49" s="35">
        <f t="shared" ref="H49" si="48">(D49/196741)</f>
        <v>2.0331298509207536</v>
      </c>
      <c r="I49" s="62">
        <f>(H49/H48)-1</f>
        <v>-0.246257770368149</v>
      </c>
      <c r="J49" s="35">
        <f>(E49/196741)</f>
        <v>4.0662597018415072</v>
      </c>
      <c r="K49" s="62">
        <f>(J49/J48)-1</f>
        <v>-0.33000690699391022</v>
      </c>
      <c r="L49" s="53">
        <v>284.3</v>
      </c>
    </row>
    <row r="50" spans="2:12" x14ac:dyDescent="0.35">
      <c r="B50" s="34" t="s">
        <v>37</v>
      </c>
      <c r="C50" s="35">
        <v>1200000</v>
      </c>
      <c r="D50" s="35">
        <v>1200000</v>
      </c>
      <c r="E50" s="35">
        <f>SUM(C50:D50)</f>
        <v>2400000</v>
      </c>
      <c r="F50" s="35">
        <f>(C50/1034091)</f>
        <v>1.1604394584229047</v>
      </c>
      <c r="G50" s="62">
        <f>(F50/F49)-1</f>
        <v>-0.42923495127604827</v>
      </c>
      <c r="H50" s="35">
        <f t="shared" ref="H50" si="49">(D50/1034091)</f>
        <v>1.1604394584229047</v>
      </c>
      <c r="I50" s="62">
        <f>(H50/H49)-1</f>
        <v>-0.42923495127604827</v>
      </c>
      <c r="J50" s="35">
        <f>(E50/1034091)</f>
        <v>2.3208789168458095</v>
      </c>
      <c r="K50" s="62">
        <f>(J50/J49)-1</f>
        <v>-0.42923495127604827</v>
      </c>
      <c r="L50" s="53">
        <v>283.62</v>
      </c>
    </row>
    <row r="51" spans="2:12" x14ac:dyDescent="0.35">
      <c r="B51" s="22"/>
      <c r="C51" s="22"/>
      <c r="D51" s="22"/>
      <c r="E51" s="22"/>
      <c r="F51" s="22"/>
      <c r="G51" s="22"/>
      <c r="H51" s="22"/>
      <c r="I51" s="22"/>
      <c r="J51" s="66">
        <f>AVERAGE(J48:J50)</f>
        <v>4.1520818386300435</v>
      </c>
      <c r="K51" s="22"/>
      <c r="L51" s="22"/>
    </row>
  </sheetData>
  <mergeCells count="2">
    <mergeCell ref="B4:F4"/>
    <mergeCell ref="B5:F5"/>
  </mergeCells>
  <pageMargins left="0.7" right="0.7" top="0.75" bottom="0.75" header="0.3" footer="0.3"/>
  <pageSetup orientation="portrait" r:id="rId1"/>
  <ignoredErrors>
    <ignoredError sqref="J10 J19 H19 H10 F10 F1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IPP</dc:creator>
  <cp:lastModifiedBy>kstephany</cp:lastModifiedBy>
  <dcterms:created xsi:type="dcterms:W3CDTF">2021-08-10T12:28:18Z</dcterms:created>
  <dcterms:modified xsi:type="dcterms:W3CDTF">2021-10-25T06:37:57Z</dcterms:modified>
</cp:coreProperties>
</file>